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3"/>
  </bookViews>
  <sheets>
    <sheet name="ACT FLOOR " sheetId="8" r:id="rId1"/>
    <sheet name="ACT COLLAR" sheetId="5" r:id="rId2"/>
    <sheet name="MODELS" sheetId="6" r:id="rId3"/>
    <sheet name="MGB 0 Growth" sheetId="14" r:id="rId4"/>
  </sheets>
  <definedNames>
    <definedName name="solver_adj" localSheetId="3" hidden="1">'MGB 0 Growth'!$B$16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'MGB 0 Growth'!$B$23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0.05</definedName>
  </definedNames>
  <calcPr calcId="125725"/>
</workbook>
</file>

<file path=xl/calcChain.xml><?xml version="1.0" encoding="utf-8"?>
<calcChain xmlns="http://schemas.openxmlformats.org/spreadsheetml/2006/main">
  <c r="B21" i="14"/>
  <c r="B4" i="5" s="1"/>
  <c r="B4" i="8" s="1"/>
  <c r="F6" i="14"/>
  <c r="F16"/>
  <c r="F5"/>
  <c r="F4" s="1"/>
  <c r="G6"/>
  <c r="G5"/>
  <c r="G4" s="1"/>
  <c r="H6"/>
  <c r="H5"/>
  <c r="H4" s="1"/>
  <c r="I6"/>
  <c r="I5"/>
  <c r="I4" s="1"/>
  <c r="J6"/>
  <c r="J5"/>
  <c r="J4" s="1"/>
  <c r="K6"/>
  <c r="K5"/>
  <c r="K4" s="1"/>
  <c r="L6"/>
  <c r="L5"/>
  <c r="L4" s="1"/>
  <c r="M6"/>
  <c r="M5"/>
  <c r="M4" s="1"/>
  <c r="N6"/>
  <c r="N5"/>
  <c r="N4" s="1"/>
  <c r="O6"/>
  <c r="O5"/>
  <c r="O4" s="1"/>
  <c r="P6"/>
  <c r="P5"/>
  <c r="P4" s="1"/>
  <c r="Q6"/>
  <c r="Q5"/>
  <c r="Q4" s="1"/>
  <c r="R6"/>
  <c r="R5"/>
  <c r="R4" s="1"/>
  <c r="S6"/>
  <c r="S5"/>
  <c r="S4" s="1"/>
  <c r="T6"/>
  <c r="T5"/>
  <c r="T4" s="1"/>
  <c r="U6"/>
  <c r="U5"/>
  <c r="U4" s="1"/>
  <c r="V6"/>
  <c r="V5"/>
  <c r="V4" s="1"/>
  <c r="W6"/>
  <c r="W5"/>
  <c r="W4" s="1"/>
  <c r="X6"/>
  <c r="X5"/>
  <c r="X4" s="1"/>
  <c r="Y6"/>
  <c r="Y5"/>
  <c r="Y4" s="1"/>
  <c r="Z6"/>
  <c r="Z5"/>
  <c r="Z4" s="1"/>
  <c r="AA6"/>
  <c r="AA5"/>
  <c r="AA4" s="1"/>
  <c r="AB6"/>
  <c r="AB5"/>
  <c r="AB4" s="1"/>
  <c r="AC6"/>
  <c r="AC5"/>
  <c r="AC4" s="1"/>
  <c r="AD6"/>
  <c r="AD5"/>
  <c r="AD4" s="1"/>
  <c r="AE6"/>
  <c r="AE5"/>
  <c r="AE4" s="1"/>
  <c r="AF6"/>
  <c r="AF5"/>
  <c r="AF4" s="1"/>
  <c r="AG6"/>
  <c r="AG5"/>
  <c r="AG4" s="1"/>
  <c r="AH6"/>
  <c r="AH5"/>
  <c r="AH4" s="1"/>
  <c r="AI6"/>
  <c r="AI5"/>
  <c r="AI4" s="1"/>
  <c r="B8" i="8"/>
  <c r="AI16" i="14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C3"/>
  <c r="D3"/>
  <c r="E3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C2"/>
  <c r="D2"/>
  <c r="E2"/>
  <c r="B5" i="8"/>
  <c r="B6"/>
  <c r="B12" s="1"/>
  <c r="B15" i="5"/>
  <c r="B25"/>
  <c r="B7" i="8"/>
  <c r="B13" s="1"/>
  <c r="B14" i="5"/>
  <c r="B27"/>
  <c r="B26"/>
  <c r="B21"/>
  <c r="B23"/>
  <c r="B24"/>
  <c r="B22"/>
  <c r="B17" i="8" l="1"/>
  <c r="B15" s="1"/>
  <c r="B14"/>
  <c r="B16"/>
  <c r="D10" i="6"/>
  <c r="B23" i="14"/>
  <c r="B20"/>
  <c r="B22" l="1"/>
  <c r="B24"/>
  <c r="B3" i="5" s="1"/>
  <c r="B17" l="1"/>
  <c r="B12"/>
  <c r="D4" i="6" s="1"/>
  <c r="B3" i="8"/>
  <c r="B11" s="1"/>
  <c r="D8" i="6" s="1"/>
  <c r="B19" i="5"/>
  <c r="B16"/>
  <c r="B11"/>
  <c r="D6" i="6" s="1"/>
  <c r="B30" i="5"/>
  <c r="B18"/>
  <c r="B31"/>
  <c r="B13"/>
  <c r="D12" i="6" s="1"/>
  <c r="B29" i="5" l="1"/>
  <c r="B20"/>
</calcChain>
</file>

<file path=xl/sharedStrings.xml><?xml version="1.0" encoding="utf-8"?>
<sst xmlns="http://schemas.openxmlformats.org/spreadsheetml/2006/main" count="183" uniqueCount="107">
  <si>
    <t>INPUT</t>
  </si>
  <si>
    <t>K</t>
  </si>
  <si>
    <t>s</t>
  </si>
  <si>
    <t>r</t>
  </si>
  <si>
    <t>d</t>
  </si>
  <si>
    <t>OUTPUT</t>
  </si>
  <si>
    <r>
      <t>b</t>
    </r>
    <r>
      <rPr>
        <vertAlign val="subscript"/>
        <sz val="10"/>
        <rFont val="Symbol"/>
        <family val="1"/>
        <charset val="2"/>
      </rPr>
      <t>1</t>
    </r>
  </si>
  <si>
    <t>0.5-(B6-B7)/(B5^2)+SQRT(((B6-B7)/(B5^2)-0.5)^2 + 2*B6/(B5^2))</t>
  </si>
  <si>
    <t>b2</t>
  </si>
  <si>
    <t xml:space="preserve"> </t>
  </si>
  <si>
    <t>0.5-(B6-B7)/(B5^2)-SQRT(((B6-B7)/(B5^2)-0.5)^2 + 2*B6/(B5^2))</t>
  </si>
  <si>
    <t>EQ</t>
  </si>
  <si>
    <t>VC</t>
  </si>
  <si>
    <t>VC PV</t>
  </si>
  <si>
    <t>IF(B3&lt;$B$8,$B$8/B6,IF(B3&gt;$B$9,$B$9/B6,B3/B7))</t>
  </si>
  <si>
    <t>AC11</t>
  </si>
  <si>
    <t>AC21</t>
  </si>
  <si>
    <t>AC22</t>
  </si>
  <si>
    <t>AC32</t>
  </si>
  <si>
    <t>[      ]</t>
  </si>
  <si>
    <t>(     )</t>
  </si>
  <si>
    <t>(B6*B14-B6-B7*B14)</t>
  </si>
  <si>
    <t>{      }</t>
  </si>
  <si>
    <t>ACTIVE + COLLARS</t>
  </si>
  <si>
    <t>ROV</t>
  </si>
  <si>
    <t>ACf11</t>
  </si>
  <si>
    <t>VCf</t>
  </si>
  <si>
    <t>ACTIVE PPP WITH COLLAR</t>
  </si>
  <si>
    <r>
      <t>b</t>
    </r>
    <r>
      <rPr>
        <b/>
        <vertAlign val="subscript"/>
        <sz val="10"/>
        <rFont val="Symbol"/>
        <family val="1"/>
        <charset val="2"/>
      </rPr>
      <t>2</t>
    </r>
  </si>
  <si>
    <t>ODE</t>
  </si>
  <si>
    <r>
      <t xml:space="preserve">VC </t>
    </r>
    <r>
      <rPr>
        <sz val="11"/>
        <color theme="1"/>
        <rFont val="Symbol"/>
        <family val="1"/>
        <charset val="2"/>
      </rPr>
      <t>D</t>
    </r>
  </si>
  <si>
    <r>
      <t xml:space="preserve">VC </t>
    </r>
    <r>
      <rPr>
        <sz val="11"/>
        <color theme="1"/>
        <rFont val="Symbol"/>
        <family val="1"/>
        <charset val="2"/>
      </rPr>
      <t>G</t>
    </r>
  </si>
  <si>
    <t>Year</t>
  </si>
  <si>
    <t>GPV</t>
  </si>
  <si>
    <t>Q Growth</t>
  </si>
  <si>
    <t>IRR</t>
  </si>
  <si>
    <t>ACTIVE PPP WITH FLOOR OPTION</t>
  </si>
  <si>
    <t>ACf22</t>
  </si>
  <si>
    <t>IF(B3&lt;$B$8,$B$8/B6+B14*(B3^B12),B3/B7+B15*(B3^B13))</t>
  </si>
  <si>
    <t>(-B8*(B6*B13-B6-B7*B13))/B16</t>
  </si>
  <si>
    <t>(-B8*(B6*B12-B6-B7*B12))/B17</t>
  </si>
  <si>
    <t>(B8^B12)*(B12-B13)*B6*B7</t>
  </si>
  <si>
    <t>(B8^B13)*(B12-B13)*B6*B7</t>
  </si>
  <si>
    <t>OpCost</t>
  </si>
  <si>
    <t>Non-Exempt</t>
  </si>
  <si>
    <t xml:space="preserve">PV (K) </t>
  </si>
  <si>
    <t>NPV</t>
  </si>
  <si>
    <t>MGB TEMPLATE</t>
  </si>
  <si>
    <t>R</t>
  </si>
  <si>
    <r>
      <t>R</t>
    </r>
    <r>
      <rPr>
        <vertAlign val="subscript"/>
        <sz val="11"/>
        <color theme="1"/>
        <rFont val="Calibri"/>
        <family val="2"/>
        <scheme val="minor"/>
      </rPr>
      <t>L</t>
    </r>
  </si>
  <si>
    <r>
      <t>R</t>
    </r>
    <r>
      <rPr>
        <vertAlign val="subscript"/>
        <sz val="11"/>
        <color theme="1"/>
        <rFont val="Calibri"/>
        <family val="2"/>
        <scheme val="minor"/>
      </rPr>
      <t>H</t>
    </r>
  </si>
  <si>
    <r>
      <t>R/</t>
    </r>
    <r>
      <rPr>
        <sz val="11"/>
        <color theme="1"/>
        <rFont val="Symbol"/>
        <family val="1"/>
        <charset val="2"/>
      </rPr>
      <t>d</t>
    </r>
  </si>
  <si>
    <r>
      <t>AC21*R^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1</t>
    </r>
  </si>
  <si>
    <r>
      <t>AC22*^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2</t>
    </r>
  </si>
  <si>
    <r>
      <t>AC32*R^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2</t>
    </r>
  </si>
  <si>
    <r>
      <t>AC11*R^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1</t>
    </r>
  </si>
  <si>
    <t>B22*(B3^B14)</t>
  </si>
  <si>
    <t>B23*(B3^B15)</t>
  </si>
  <si>
    <t>VC(R) Collar</t>
  </si>
  <si>
    <t>VCf(R) Floor Only</t>
  </si>
  <si>
    <t>IF(B3&lt;$B$8,$B$8/B6+B21*(B3^B14),IF(B3&gt;$B$9,$B$9/B6+B24*(B3^B15),B3/B7+B22*(B3^B14)+B23*(B3^B15)))</t>
  </si>
  <si>
    <t>B3/B7</t>
  </si>
  <si>
    <t>B21*(B3^B14)</t>
  </si>
  <si>
    <t>B24*(B3^B15)</t>
  </si>
  <si>
    <t>B12+B17+B18</t>
  </si>
  <si>
    <t>($B$9/($B$9^B14)-$B$8/($B$8^B14))*(B25/B27)</t>
  </si>
  <si>
    <t>($B$9/($B$9^B14))*(B25/B27)</t>
  </si>
  <si>
    <t>(-$B$8/($B$8^B15))*(B26/B27)</t>
  </si>
  <si>
    <t>($B$9/($B$9^B15)-$B$8/($B$8^B15))*(B26/B27)</t>
  </si>
  <si>
    <t>(B6*B15-B6-B7*B15)</t>
  </si>
  <si>
    <t>(B14-B15)*B6*B7</t>
  </si>
  <si>
    <t>IF(B3&lt;$B$8,B14*B21*(B3^(B14-1)),IF(B3&gt;$B$9,B15*B24*(B3^(B15-1)),1/B7+B14*B22*(B3^(B14-1))+B15*B23*(B3^(B15-1))))</t>
  </si>
  <si>
    <t>IF(B3&lt;$B$8,B14*(B14-1)*B21*(B3^(B14-2)),IF(B3&gt;$B$9,B15*(B15-1)*B24*(B3^(B15-2)),B14*(B14-1)*B22*(B3^(B14-2))+B15*(B15-1)*B23*(B3^(B15-2))))</t>
  </si>
  <si>
    <t>0.5*(B5^2)*(B3^2)*B31+(B6-B7)*B3*B30-B6*B11+MIN(MAX($B$8,B3),$B$9)</t>
  </si>
  <si>
    <t>Initial Toll</t>
  </si>
  <si>
    <t>R Per Annum</t>
  </si>
  <si>
    <t>NR (PQ-C)</t>
  </si>
  <si>
    <t>Adjust weekend</t>
  </si>
  <si>
    <t>Days</t>
  </si>
  <si>
    <t>Q</t>
  </si>
  <si>
    <t>MIN($B$12*$B$13*$B$14*((1+$B$16)^F3)/1000,180)</t>
  </si>
  <si>
    <t>Initial Q per weekday</t>
  </si>
  <si>
    <t>Shadow Toll</t>
  </si>
  <si>
    <t>Solver: B23=5%, Change B16</t>
  </si>
  <si>
    <t>F6*($B$15+$B$16)*((1+$B$11)^F3)*(1-$B$10)*$B$18</t>
  </si>
  <si>
    <t>Inflation Rate</t>
  </si>
  <si>
    <t>INSTRUCTIONS FOR USE</t>
  </si>
  <si>
    <t>B4:E4</t>
  </si>
  <si>
    <t>Investment cost spread over four years.  F4:AI4 NR from operations.</t>
  </si>
  <si>
    <t>NR</t>
  </si>
  <si>
    <t>F5:AI5</t>
  </si>
  <si>
    <t>F6:AI6</t>
  </si>
  <si>
    <t>see B26, approximates annual traffic, allows for changes in initial and Q growth, adjustment for weekend traffic, maximum traffic twice the SJB maximum.</t>
  </si>
  <si>
    <t>NPV(B8,B5:AI5)</t>
  </si>
  <si>
    <t>NPV(B8,B4:E4)</t>
  </si>
  <si>
    <t>B20+B21</t>
  </si>
  <si>
    <t>IRR(B4:AE4)</t>
  </si>
  <si>
    <t>B20*B9</t>
  </si>
  <si>
    <t>NPV of operational cash flows, discounted at r.</t>
  </si>
  <si>
    <t>NPV of investment cost, discounted at r.</t>
  </si>
  <si>
    <t>NPV of all cash flows, discounted at r.</t>
  </si>
  <si>
    <r>
      <t xml:space="preserve">Annual equivalent perpetual R that would result in GPV discounted at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.</t>
    </r>
  </si>
  <si>
    <t>PV of Investment Cost</t>
  </si>
  <si>
    <t>V(R) Perpetual Min R</t>
  </si>
  <si>
    <t>see B25, approximates NCF from operations, allows for changes in parameter values, especially % exempt from tolls. Default assumes no Q growth, 30% exempt.</t>
  </si>
  <si>
    <t>IRR of all cash flows.</t>
  </si>
  <si>
    <t>When IRR low use Solver: B23=5%, Change B16,to determine the shadow tolls *Q*B18 paid to concessionaire for Min IRR=5%.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</si>
</sst>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0.0000"/>
  </numFmts>
  <fonts count="16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1"/>
      <color theme="1"/>
      <name val="Symbol"/>
      <family val="1"/>
      <charset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vertAlign val="subscript"/>
      <sz val="10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0" fontId="1" fillId="0" borderId="0" xfId="0" applyFont="1" applyBorder="1"/>
    <xf numFmtId="164" fontId="0" fillId="0" borderId="0" xfId="0" applyNumberFormat="1" applyBorder="1"/>
    <xf numFmtId="2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4" fillId="0" borderId="0" xfId="0" applyFont="1"/>
    <xf numFmtId="0" fontId="7" fillId="0" borderId="0" xfId="0" applyFont="1" applyBorder="1"/>
    <xf numFmtId="0" fontId="0" fillId="0" borderId="0" xfId="0" applyFill="1" applyBorder="1"/>
    <xf numFmtId="164" fontId="0" fillId="0" borderId="0" xfId="0" applyNumberFormat="1"/>
    <xf numFmtId="0" fontId="9" fillId="0" borderId="0" xfId="0" applyFont="1" applyBorder="1"/>
    <xf numFmtId="164" fontId="10" fillId="0" borderId="0" xfId="0" applyNumberFormat="1" applyFont="1"/>
    <xf numFmtId="0" fontId="0" fillId="0" borderId="1" xfId="0" applyBorder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8" fillId="0" borderId="0" xfId="0" applyFont="1"/>
    <xf numFmtId="6" fontId="0" fillId="0" borderId="0" xfId="0" applyNumberFormat="1"/>
    <xf numFmtId="10" fontId="0" fillId="0" borderId="0" xfId="0" applyNumberFormat="1"/>
    <xf numFmtId="43" fontId="0" fillId="0" borderId="0" xfId="0" applyNumberFormat="1"/>
    <xf numFmtId="164" fontId="13" fillId="0" borderId="0" xfId="0" applyNumberFormat="1" applyFont="1"/>
    <xf numFmtId="164" fontId="14" fillId="0" borderId="0" xfId="0" applyNumberFormat="1" applyFont="1"/>
    <xf numFmtId="164" fontId="13" fillId="0" borderId="0" xfId="0" applyNumberFormat="1" applyFont="1" applyBorder="1"/>
    <xf numFmtId="1" fontId="0" fillId="0" borderId="0" xfId="0" applyNumberFormat="1"/>
    <xf numFmtId="2" fontId="4" fillId="0" borderId="0" xfId="0" applyNumberFormat="1" applyFont="1"/>
    <xf numFmtId="164" fontId="15" fillId="0" borderId="0" xfId="0" applyNumberFormat="1" applyFont="1"/>
    <xf numFmtId="4" fontId="0" fillId="0" borderId="1" xfId="0" applyNumberFormat="1" applyBorder="1"/>
    <xf numFmtId="2" fontId="0" fillId="0" borderId="1" xfId="0" applyNumberFormat="1" applyBorder="1"/>
    <xf numFmtId="2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17"/>
    </sheetView>
  </sheetViews>
  <sheetFormatPr defaultRowHeight="15"/>
  <cols>
    <col min="1" max="1" width="12" bestFit="1" customWidth="1"/>
    <col min="2" max="2" width="9.5703125" customWidth="1"/>
    <col min="3" max="3" width="52.42578125" customWidth="1"/>
    <col min="4" max="4" width="2.85546875" customWidth="1"/>
  </cols>
  <sheetData>
    <row r="1" spans="1:4" ht="15.75">
      <c r="A1" s="7" t="s">
        <v>36</v>
      </c>
      <c r="B1" s="8"/>
      <c r="C1" s="8"/>
      <c r="D1" s="8"/>
    </row>
    <row r="2" spans="1:4">
      <c r="A2" s="9" t="s">
        <v>0</v>
      </c>
      <c r="D2" t="s">
        <v>11</v>
      </c>
    </row>
    <row r="3" spans="1:4">
      <c r="A3" s="1" t="s">
        <v>48</v>
      </c>
      <c r="B3" s="2">
        <f>'ACT COLLAR'!B3</f>
        <v>21.15834795945873</v>
      </c>
      <c r="C3" s="2"/>
    </row>
    <row r="4" spans="1:4">
      <c r="A4" s="1" t="s">
        <v>1</v>
      </c>
      <c r="B4" s="2">
        <f>'ACT COLLAR'!B4</f>
        <v>544.48428363852804</v>
      </c>
      <c r="C4" s="2"/>
    </row>
    <row r="5" spans="1:4">
      <c r="A5" s="3" t="s">
        <v>2</v>
      </c>
      <c r="B5" s="2">
        <f>'ACT COLLAR'!B5</f>
        <v>0.2</v>
      </c>
      <c r="C5" s="2"/>
    </row>
    <row r="6" spans="1:4">
      <c r="A6" s="4" t="s">
        <v>3</v>
      </c>
      <c r="B6" s="2">
        <f>'ACT COLLAR'!B6</f>
        <v>0.04</v>
      </c>
      <c r="C6" s="2"/>
    </row>
    <row r="7" spans="1:4">
      <c r="A7" s="3" t="s">
        <v>4</v>
      </c>
      <c r="B7" s="2">
        <f>'ACT COLLAR'!B7</f>
        <v>0.04</v>
      </c>
      <c r="C7" s="2"/>
    </row>
    <row r="8" spans="1:4" ht="18">
      <c r="A8" t="s">
        <v>49</v>
      </c>
      <c r="B8" s="27">
        <f>'ACT COLLAR'!B8</f>
        <v>29.090125254039396</v>
      </c>
      <c r="C8" s="10"/>
    </row>
    <row r="9" spans="1:4">
      <c r="A9" t="s">
        <v>9</v>
      </c>
      <c r="B9" s="10" t="s">
        <v>9</v>
      </c>
      <c r="C9" s="10"/>
    </row>
    <row r="10" spans="1:4">
      <c r="A10" s="11" t="s">
        <v>5</v>
      </c>
      <c r="B10" s="1"/>
      <c r="C10" s="1"/>
    </row>
    <row r="11" spans="1:4">
      <c r="A11" s="12" t="s">
        <v>26</v>
      </c>
      <c r="B11" s="27">
        <f>IF(B3&lt;$B$8,$B$8/B6+B14*(B3^B12),B3/B7+B15*(B3^B13))</f>
        <v>855.49701836993358</v>
      </c>
      <c r="C11" s="18" t="s">
        <v>38</v>
      </c>
      <c r="D11">
        <v>11</v>
      </c>
    </row>
    <row r="12" spans="1:4">
      <c r="A12" s="3" t="s">
        <v>6</v>
      </c>
      <c r="B12" s="2">
        <f>0.5-(B6-B7)/(B5^2)+SQRT(((B6-B7)/(B5^2)-0.5)^2 + 2*B6/(B5^2))</f>
        <v>1.9999999999999998</v>
      </c>
      <c r="C12" s="25" t="s">
        <v>7</v>
      </c>
      <c r="D12">
        <v>4</v>
      </c>
    </row>
    <row r="13" spans="1:4">
      <c r="A13" s="3" t="s">
        <v>28</v>
      </c>
      <c r="B13" s="2">
        <f>0.5-(B6-B7)/(B5^2)-SQRT(((B6-B7)/(B5^2)-0.5)^2 + 2*B6/(B5^2))</f>
        <v>-0.99999999999999978</v>
      </c>
      <c r="C13" s="25" t="s">
        <v>10</v>
      </c>
      <c r="D13">
        <v>4</v>
      </c>
    </row>
    <row r="14" spans="1:4">
      <c r="A14" s="14" t="s">
        <v>25</v>
      </c>
      <c r="B14" s="6">
        <f>(-B8*(B6*B13-B6-B7*B13))/B16</f>
        <v>0.28646605198704639</v>
      </c>
      <c r="C14" t="s">
        <v>39</v>
      </c>
      <c r="D14">
        <v>12</v>
      </c>
    </row>
    <row r="15" spans="1:4">
      <c r="A15" t="s">
        <v>37</v>
      </c>
      <c r="B15">
        <f>(-B8*(B6*B12-B6-B7*B12))/B17</f>
        <v>7051.9615607975002</v>
      </c>
      <c r="C15" t="s">
        <v>40</v>
      </c>
      <c r="D15">
        <v>12</v>
      </c>
    </row>
    <row r="16" spans="1:4">
      <c r="A16" t="s">
        <v>19</v>
      </c>
      <c r="B16" s="6">
        <f>(B8^B12)*(B12-B13)*B6*B7</f>
        <v>4.0619298590193589</v>
      </c>
      <c r="C16" t="s">
        <v>41</v>
      </c>
      <c r="D16">
        <v>12</v>
      </c>
    </row>
    <row r="17" spans="1:4">
      <c r="A17" t="s">
        <v>20</v>
      </c>
      <c r="B17" s="13">
        <f>(B8^B13)*(B12-B13)*B6*B7</f>
        <v>1.6500444594453868E-4</v>
      </c>
      <c r="C17" t="s">
        <v>42</v>
      </c>
      <c r="D17">
        <v>12</v>
      </c>
    </row>
  </sheetData>
  <printOptions horizontalCentered="1" headings="1"/>
  <pageMargins left="0.7" right="0.7" top="0.75" bottom="0.75" header="0.3" footer="0.3"/>
  <pageSetup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11" workbookViewId="0">
      <selection sqref="A1:D34"/>
    </sheetView>
  </sheetViews>
  <sheetFormatPr defaultRowHeight="15"/>
  <cols>
    <col min="1" max="1" width="12" bestFit="1" customWidth="1"/>
    <col min="2" max="2" width="9" customWidth="1"/>
    <col min="3" max="3" width="66.7109375" customWidth="1"/>
    <col min="4" max="4" width="9.7109375" customWidth="1"/>
  </cols>
  <sheetData>
    <row r="1" spans="1:5" ht="15.75">
      <c r="A1" s="7" t="s">
        <v>27</v>
      </c>
      <c r="B1" s="8"/>
      <c r="C1" s="8"/>
      <c r="D1" s="8"/>
    </row>
    <row r="2" spans="1:5">
      <c r="A2" s="9" t="s">
        <v>0</v>
      </c>
      <c r="D2" t="s">
        <v>11</v>
      </c>
    </row>
    <row r="3" spans="1:5">
      <c r="A3" s="1" t="s">
        <v>48</v>
      </c>
      <c r="B3" s="2">
        <f>'MGB 0 Growth'!$B$24</f>
        <v>21.15834795945873</v>
      </c>
      <c r="C3" s="2"/>
    </row>
    <row r="4" spans="1:5">
      <c r="A4" s="1" t="s">
        <v>1</v>
      </c>
      <c r="B4" s="2">
        <f>-'MGB 0 Growth'!$B$21</f>
        <v>544.48428363852804</v>
      </c>
      <c r="C4" s="2"/>
    </row>
    <row r="5" spans="1:5">
      <c r="A5" s="3" t="s">
        <v>2</v>
      </c>
      <c r="B5" s="2">
        <v>0.2</v>
      </c>
      <c r="C5" s="2"/>
      <c r="E5" t="s">
        <v>9</v>
      </c>
    </row>
    <row r="6" spans="1:5">
      <c r="A6" s="4" t="s">
        <v>3</v>
      </c>
      <c r="B6" s="2">
        <v>0.04</v>
      </c>
      <c r="C6" s="2"/>
      <c r="E6" t="s">
        <v>9</v>
      </c>
    </row>
    <row r="7" spans="1:5">
      <c r="A7" s="3" t="s">
        <v>4</v>
      </c>
      <c r="B7" s="2">
        <v>0.04</v>
      </c>
      <c r="C7" s="2"/>
      <c r="E7" t="s">
        <v>9</v>
      </c>
    </row>
    <row r="8" spans="1:5" ht="18">
      <c r="A8" t="s">
        <v>49</v>
      </c>
      <c r="B8" s="27">
        <v>29.090125254039396</v>
      </c>
      <c r="C8" s="10"/>
    </row>
    <row r="9" spans="1:5" ht="18">
      <c r="A9" t="s">
        <v>50</v>
      </c>
      <c r="B9" s="27">
        <v>198.9576023500309</v>
      </c>
      <c r="C9" s="10"/>
    </row>
    <row r="10" spans="1:5">
      <c r="A10" s="11" t="s">
        <v>5</v>
      </c>
      <c r="B10" s="1"/>
      <c r="C10" s="1"/>
    </row>
    <row r="11" spans="1:5">
      <c r="A11" s="12" t="s">
        <v>12</v>
      </c>
      <c r="B11" s="27">
        <f>IF(B3&lt;$B$8,$B$8/B6+B21*(B3^B14),IF(B3&gt;$B$9,$B$9/B6+B24*(B3^B15),B3/B7+B22*(B3^B14)+B23*(B3^B15)))</f>
        <v>836.74613530549698</v>
      </c>
      <c r="C11" s="5" t="s">
        <v>9</v>
      </c>
      <c r="D11">
        <v>5</v>
      </c>
    </row>
    <row r="12" spans="1:5">
      <c r="A12" s="12" t="s">
        <v>13</v>
      </c>
      <c r="B12" s="27">
        <f>IF(B3&lt;$B$8,$B$8/B6,IF(B3&gt;$B$9,$B$9/B6,B3/B7))</f>
        <v>727.25313135098486</v>
      </c>
      <c r="C12" s="18" t="s">
        <v>14</v>
      </c>
      <c r="D12">
        <v>5</v>
      </c>
    </row>
    <row r="13" spans="1:5">
      <c r="A13" s="1" t="s">
        <v>51</v>
      </c>
      <c r="B13" s="31">
        <f>B3/B7</f>
        <v>528.95869898646822</v>
      </c>
      <c r="C13" s="5" t="s">
        <v>61</v>
      </c>
      <c r="D13" t="s">
        <v>9</v>
      </c>
    </row>
    <row r="14" spans="1:5">
      <c r="A14" s="3" t="s">
        <v>6</v>
      </c>
      <c r="B14" s="2">
        <f>0.5-(B6-B7)/(B5^2)+SQRT(((B6-B7)/(B5^2)-0.5)^2 + 2*B6/(B5^2))</f>
        <v>1.9999999999999998</v>
      </c>
      <c r="C14" s="5" t="s">
        <v>7</v>
      </c>
      <c r="D14">
        <v>4</v>
      </c>
    </row>
    <row r="15" spans="1:5">
      <c r="A15" s="3" t="s">
        <v>8</v>
      </c>
      <c r="B15" s="2">
        <f>0.5-(B6-B7)/(B5^2)-SQRT(((B6-B7)/(B5^2)-0.5)^2 + 2*B6/(B5^2))</f>
        <v>-0.99999999999999978</v>
      </c>
      <c r="C15" s="5" t="s">
        <v>10</v>
      </c>
      <c r="D15">
        <v>4</v>
      </c>
    </row>
    <row r="16" spans="1:5">
      <c r="A16" s="14" t="s">
        <v>55</v>
      </c>
      <c r="B16" s="27">
        <f>B21*(B3^B14)</f>
        <v>109.49300395451212</v>
      </c>
      <c r="C16" s="18" t="s">
        <v>62</v>
      </c>
      <c r="D16">
        <v>5</v>
      </c>
    </row>
    <row r="17" spans="1:4">
      <c r="A17" s="14" t="s">
        <v>52</v>
      </c>
      <c r="B17" s="27">
        <f>B22*(B3^B14)</f>
        <v>-18.75088306443655</v>
      </c>
      <c r="C17" s="18" t="s">
        <v>56</v>
      </c>
      <c r="D17">
        <v>5</v>
      </c>
    </row>
    <row r="18" spans="1:4">
      <c r="A18" s="14" t="s">
        <v>53</v>
      </c>
      <c r="B18" s="27">
        <f>B23*(B3^B15)</f>
        <v>333.29452631697382</v>
      </c>
      <c r="C18" s="18" t="s">
        <v>57</v>
      </c>
      <c r="D18">
        <v>5</v>
      </c>
    </row>
    <row r="19" spans="1:4">
      <c r="A19" s="14" t="s">
        <v>54</v>
      </c>
      <c r="B19" s="27">
        <f>B24*(B3^B15)</f>
        <v>-15257.134843341964</v>
      </c>
      <c r="C19" s="18" t="s">
        <v>63</v>
      </c>
      <c r="D19">
        <v>5</v>
      </c>
    </row>
    <row r="20" spans="1:4">
      <c r="A20" t="s">
        <v>12</v>
      </c>
      <c r="B20" s="6">
        <f>B12+B17+B18</f>
        <v>1041.7967746035222</v>
      </c>
      <c r="C20" s="13" t="s">
        <v>64</v>
      </c>
      <c r="D20" t="s">
        <v>9</v>
      </c>
    </row>
    <row r="21" spans="1:4">
      <c r="A21" t="s">
        <v>15</v>
      </c>
      <c r="B21" s="6">
        <f>($B$9/($B$9^B14)-$B$8/($B$8^B14))*(B25/B27)</f>
        <v>0.24458108134555101</v>
      </c>
      <c r="C21" s="13" t="s">
        <v>65</v>
      </c>
      <c r="D21">
        <v>10</v>
      </c>
    </row>
    <row r="22" spans="1:4">
      <c r="A22" t="s">
        <v>16</v>
      </c>
      <c r="B22" s="6">
        <f>($B$9/($B$9^B14))*(B25/B27)</f>
        <v>-4.1884970641495316E-2</v>
      </c>
      <c r="C22" s="13" t="s">
        <v>66</v>
      </c>
      <c r="D22">
        <v>10</v>
      </c>
    </row>
    <row r="23" spans="1:4">
      <c r="A23" t="s">
        <v>17</v>
      </c>
      <c r="B23" s="6">
        <f>(-$B$8/($B$8^B15))*(B26/B27)</f>
        <v>7051.9615607975002</v>
      </c>
      <c r="C23" s="13" t="s">
        <v>67</v>
      </c>
      <c r="D23">
        <v>10</v>
      </c>
    </row>
    <row r="24" spans="1:4">
      <c r="A24" t="s">
        <v>18</v>
      </c>
      <c r="B24" s="26">
        <f>($B$9/($B$9^B15)-$B$8/($B$8^B15))*(B26/B27)</f>
        <v>-322815.76787981082</v>
      </c>
      <c r="C24" s="6" t="s">
        <v>68</v>
      </c>
      <c r="D24">
        <v>10</v>
      </c>
    </row>
    <row r="25" spans="1:4">
      <c r="A25" t="s">
        <v>19</v>
      </c>
      <c r="B25" s="13">
        <f>(B6*B15-B6-B7*B15)</f>
        <v>-3.9999999999999994E-2</v>
      </c>
      <c r="C25" s="13" t="s">
        <v>69</v>
      </c>
      <c r="D25">
        <v>10</v>
      </c>
    </row>
    <row r="26" spans="1:4">
      <c r="A26" t="s">
        <v>20</v>
      </c>
      <c r="B26" s="13">
        <f>(B6*B14-B6-B7*B14)</f>
        <v>-0.04</v>
      </c>
      <c r="C26" s="13" t="s">
        <v>21</v>
      </c>
      <c r="D26">
        <v>10</v>
      </c>
    </row>
    <row r="27" spans="1:4">
      <c r="A27" t="s">
        <v>22</v>
      </c>
      <c r="B27" s="13">
        <f>(B14-B15)*B6*B7</f>
        <v>4.7999999999999996E-3</v>
      </c>
      <c r="C27" s="13" t="s">
        <v>70</v>
      </c>
      <c r="D27">
        <v>10</v>
      </c>
    </row>
    <row r="29" spans="1:4">
      <c r="A29" s="12" t="s">
        <v>29</v>
      </c>
      <c r="B29" s="13">
        <f>0.5*(B5^2)*(B3^2)*B31+(B6-B7)*B3*B30-B6*B11+MIN(MAX($B$8,B3),$B$9)</f>
        <v>0</v>
      </c>
      <c r="C29" s="13" t="s">
        <v>73</v>
      </c>
      <c r="D29">
        <v>2</v>
      </c>
    </row>
    <row r="30" spans="1:4">
      <c r="A30" s="12" t="s">
        <v>30</v>
      </c>
      <c r="B30" s="23">
        <f>IF(B3&lt;$B$8,B14*B21*(B3^(B14-1)),IF(B3&gt;$B$9,B15*B24*(B3^(B15-1)),1/B7+B14*B22*(B3^(B14-1))+B15*B23*(B3^(B15-1))))</f>
        <v>10.349863246819686</v>
      </c>
      <c r="C30" s="15" t="s">
        <v>9</v>
      </c>
    </row>
    <row r="31" spans="1:4">
      <c r="A31" s="12" t="s">
        <v>31</v>
      </c>
      <c r="B31" s="23">
        <f>IF(B3&lt;$B$8,B14*(B14-1)*B21*(B3^(B14-2)),IF(B3&gt;$B$9,B15*(B15-1)*B24*(B3^(B15-2)),B14*(B14-1)*B22*(B3^(B14-2))+B15*(B15-1)*B23*(B3^(B15-2))))</f>
        <v>0.48916216269110152</v>
      </c>
      <c r="C31" s="15" t="s">
        <v>9</v>
      </c>
    </row>
    <row r="32" spans="1:4">
      <c r="A32" s="12" t="s">
        <v>12</v>
      </c>
      <c r="B32" s="23" t="s">
        <v>60</v>
      </c>
    </row>
    <row r="33" spans="1:2">
      <c r="A33" s="12" t="s">
        <v>30</v>
      </c>
      <c r="B33" s="24" t="s">
        <v>71</v>
      </c>
    </row>
    <row r="34" spans="1:2">
      <c r="A34" s="12" t="s">
        <v>31</v>
      </c>
      <c r="B34" s="28" t="s">
        <v>72</v>
      </c>
    </row>
  </sheetData>
  <printOptions horizontalCentered="1" headings="1"/>
  <pageMargins left="0.15" right="0.14000000000000001" top="0.75" bottom="0.75" header="0.3" footer="0.3"/>
  <pageSetup scale="9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"/>
  <sheetViews>
    <sheetView workbookViewId="0">
      <selection activeCell="B1" sqref="B1:D12"/>
    </sheetView>
  </sheetViews>
  <sheetFormatPr defaultRowHeight="15"/>
  <cols>
    <col min="2" max="2" width="23.7109375" bestFit="1" customWidth="1"/>
    <col min="3" max="3" width="8.7109375" customWidth="1"/>
    <col min="4" max="4" width="9.5703125" bestFit="1" customWidth="1"/>
  </cols>
  <sheetData>
    <row r="2" spans="2:8">
      <c r="B2" s="17" t="s">
        <v>23</v>
      </c>
      <c r="C2" s="17" t="s">
        <v>11</v>
      </c>
      <c r="D2" s="17" t="s">
        <v>24</v>
      </c>
    </row>
    <row r="3" spans="2:8">
      <c r="H3" t="s">
        <v>9</v>
      </c>
    </row>
    <row r="4" spans="2:8">
      <c r="B4" s="16" t="s">
        <v>103</v>
      </c>
      <c r="C4" s="16">
        <v>5</v>
      </c>
      <c r="D4" s="29">
        <f>'ACT COLLAR'!$B$12</f>
        <v>727.25313135098486</v>
      </c>
    </row>
    <row r="5" spans="2:8">
      <c r="B5" s="16"/>
      <c r="C5" s="16"/>
      <c r="D5" s="29"/>
    </row>
    <row r="6" spans="2:8">
      <c r="B6" s="16" t="s">
        <v>58</v>
      </c>
      <c r="C6" s="16">
        <v>5</v>
      </c>
      <c r="D6" s="29">
        <f>'ACT COLLAR'!$B$11</f>
        <v>836.74613530549698</v>
      </c>
    </row>
    <row r="7" spans="2:8">
      <c r="B7" s="16"/>
      <c r="C7" s="16"/>
      <c r="D7" s="29"/>
    </row>
    <row r="8" spans="2:8">
      <c r="B8" s="16" t="s">
        <v>59</v>
      </c>
      <c r="C8" s="16">
        <v>11</v>
      </c>
      <c r="D8" s="29">
        <f>'ACT FLOOR '!$B$11</f>
        <v>855.49701836993358</v>
      </c>
    </row>
    <row r="9" spans="2:8">
      <c r="B9" s="16"/>
      <c r="C9" s="16"/>
      <c r="D9" s="29"/>
    </row>
    <row r="10" spans="2:8">
      <c r="B10" s="16" t="s">
        <v>102</v>
      </c>
      <c r="C10" s="16"/>
      <c r="D10" s="29">
        <f>'ACT COLLAR'!$B$4</f>
        <v>544.48428363852804</v>
      </c>
    </row>
    <row r="11" spans="2:8">
      <c r="B11" s="16"/>
      <c r="C11" s="16"/>
      <c r="D11" s="16"/>
    </row>
    <row r="12" spans="2:8">
      <c r="B12" s="16" t="s">
        <v>51</v>
      </c>
      <c r="C12" s="16"/>
      <c r="D12" s="30">
        <f>'ACT COLLAR'!$B$13</f>
        <v>528.95869898646822</v>
      </c>
    </row>
  </sheetData>
  <printOptions horizontalCentered="1"/>
  <pageMargins left="0.4" right="0.11" top="0.75" bottom="0.75" header="0.3" footer="0.3"/>
  <pageSetup scale="9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/>
  </sheetViews>
  <sheetFormatPr defaultRowHeight="15"/>
  <cols>
    <col min="1" max="1" width="19.42578125" bestFit="1" customWidth="1"/>
    <col min="2" max="2" width="9.140625" customWidth="1"/>
    <col min="3" max="5" width="4.7109375" customWidth="1"/>
    <col min="6" max="6" width="5" customWidth="1"/>
    <col min="7" max="35" width="4.7109375" customWidth="1"/>
  </cols>
  <sheetData>
    <row r="1" spans="1:35">
      <c r="A1" t="s">
        <v>47</v>
      </c>
    </row>
    <row r="2" spans="1:35">
      <c r="A2" s="10" t="s">
        <v>0</v>
      </c>
      <c r="B2">
        <v>2013</v>
      </c>
      <c r="C2">
        <f>B2+1</f>
        <v>2014</v>
      </c>
      <c r="D2">
        <f t="shared" ref="D2:S3" si="0">C2+1</f>
        <v>2015</v>
      </c>
      <c r="E2">
        <f t="shared" si="0"/>
        <v>2016</v>
      </c>
      <c r="F2">
        <v>2017</v>
      </c>
      <c r="G2">
        <f>F2+1</f>
        <v>2018</v>
      </c>
      <c r="H2">
        <f t="shared" ref="H2:AI3" si="1">G2+1</f>
        <v>2019</v>
      </c>
      <c r="I2">
        <f t="shared" si="1"/>
        <v>2020</v>
      </c>
      <c r="J2">
        <f t="shared" si="1"/>
        <v>2021</v>
      </c>
      <c r="K2">
        <f t="shared" si="1"/>
        <v>2022</v>
      </c>
      <c r="L2">
        <f t="shared" si="1"/>
        <v>2023</v>
      </c>
      <c r="M2">
        <f t="shared" si="1"/>
        <v>2024</v>
      </c>
      <c r="N2">
        <f t="shared" si="1"/>
        <v>2025</v>
      </c>
      <c r="O2">
        <f t="shared" si="1"/>
        <v>2026</v>
      </c>
      <c r="P2">
        <f t="shared" si="1"/>
        <v>2027</v>
      </c>
      <c r="Q2">
        <f t="shared" si="1"/>
        <v>2028</v>
      </c>
      <c r="R2">
        <f t="shared" si="1"/>
        <v>2029</v>
      </c>
      <c r="S2">
        <f t="shared" si="1"/>
        <v>2030</v>
      </c>
      <c r="T2">
        <f t="shared" si="1"/>
        <v>2031</v>
      </c>
      <c r="U2">
        <f t="shared" si="1"/>
        <v>2032</v>
      </c>
      <c r="V2">
        <f t="shared" si="1"/>
        <v>2033</v>
      </c>
      <c r="W2">
        <f t="shared" si="1"/>
        <v>2034</v>
      </c>
      <c r="X2">
        <f t="shared" si="1"/>
        <v>2035</v>
      </c>
      <c r="Y2">
        <f t="shared" si="1"/>
        <v>2036</v>
      </c>
      <c r="Z2">
        <f t="shared" si="1"/>
        <v>2037</v>
      </c>
      <c r="AA2">
        <f t="shared" si="1"/>
        <v>2038</v>
      </c>
      <c r="AB2">
        <f t="shared" si="1"/>
        <v>2039</v>
      </c>
      <c r="AC2">
        <f t="shared" si="1"/>
        <v>2040</v>
      </c>
      <c r="AD2">
        <f t="shared" si="1"/>
        <v>2041</v>
      </c>
      <c r="AE2">
        <f t="shared" si="1"/>
        <v>2042</v>
      </c>
      <c r="AF2">
        <f t="shared" si="1"/>
        <v>2043</v>
      </c>
      <c r="AG2">
        <f t="shared" si="1"/>
        <v>2044</v>
      </c>
      <c r="AH2">
        <f t="shared" si="1"/>
        <v>2045</v>
      </c>
      <c r="AI2">
        <f t="shared" si="1"/>
        <v>2046</v>
      </c>
    </row>
    <row r="3" spans="1:35">
      <c r="A3" t="s">
        <v>32</v>
      </c>
      <c r="B3">
        <v>1</v>
      </c>
      <c r="C3">
        <f>B3+1</f>
        <v>2</v>
      </c>
      <c r="D3">
        <f t="shared" si="0"/>
        <v>3</v>
      </c>
      <c r="E3">
        <f t="shared" si="0"/>
        <v>4</v>
      </c>
      <c r="F3">
        <v>1</v>
      </c>
      <c r="G3">
        <f t="shared" si="0"/>
        <v>2</v>
      </c>
      <c r="H3">
        <f t="shared" si="0"/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  <c r="Q3">
        <f t="shared" si="0"/>
        <v>12</v>
      </c>
      <c r="R3">
        <f t="shared" si="0"/>
        <v>13</v>
      </c>
      <c r="S3">
        <f t="shared" si="0"/>
        <v>14</v>
      </c>
      <c r="T3">
        <f t="shared" si="1"/>
        <v>15</v>
      </c>
      <c r="U3">
        <f t="shared" si="1"/>
        <v>16</v>
      </c>
      <c r="V3">
        <f t="shared" si="1"/>
        <v>17</v>
      </c>
      <c r="W3">
        <f t="shared" si="1"/>
        <v>18</v>
      </c>
      <c r="X3">
        <f t="shared" si="1"/>
        <v>19</v>
      </c>
      <c r="Y3">
        <f t="shared" si="1"/>
        <v>20</v>
      </c>
      <c r="Z3">
        <f t="shared" si="1"/>
        <v>21</v>
      </c>
      <c r="AA3">
        <f t="shared" si="1"/>
        <v>22</v>
      </c>
      <c r="AB3">
        <f t="shared" si="1"/>
        <v>23</v>
      </c>
      <c r="AC3">
        <f t="shared" si="1"/>
        <v>24</v>
      </c>
      <c r="AD3">
        <f t="shared" si="1"/>
        <v>25</v>
      </c>
      <c r="AE3">
        <f t="shared" si="1"/>
        <v>26</v>
      </c>
      <c r="AF3">
        <f t="shared" si="1"/>
        <v>27</v>
      </c>
      <c r="AG3">
        <f t="shared" si="1"/>
        <v>28</v>
      </c>
      <c r="AH3">
        <f t="shared" si="1"/>
        <v>29</v>
      </c>
      <c r="AI3">
        <f t="shared" si="1"/>
        <v>30</v>
      </c>
    </row>
    <row r="4" spans="1:35">
      <c r="A4" t="s">
        <v>1</v>
      </c>
      <c r="B4">
        <v>-150</v>
      </c>
      <c r="C4">
        <v>-150</v>
      </c>
      <c r="D4">
        <v>-150</v>
      </c>
      <c r="E4">
        <v>-150</v>
      </c>
      <c r="F4">
        <f>F5</f>
        <v>30.589733999999996</v>
      </c>
      <c r="G4">
        <f t="shared" ref="G4:AI4" si="2">G5</f>
        <v>30.589733999999996</v>
      </c>
      <c r="H4">
        <f t="shared" si="2"/>
        <v>30.589733999999996</v>
      </c>
      <c r="I4">
        <f t="shared" si="2"/>
        <v>30.589733999999996</v>
      </c>
      <c r="J4">
        <f t="shared" si="2"/>
        <v>30.589733999999996</v>
      </c>
      <c r="K4">
        <f t="shared" si="2"/>
        <v>30.589733999999996</v>
      </c>
      <c r="L4">
        <f t="shared" si="2"/>
        <v>30.589733999999996</v>
      </c>
      <c r="M4">
        <f t="shared" si="2"/>
        <v>30.589733999999996</v>
      </c>
      <c r="N4">
        <f t="shared" si="2"/>
        <v>30.589733999999996</v>
      </c>
      <c r="O4">
        <f t="shared" si="2"/>
        <v>30.589733999999996</v>
      </c>
      <c r="P4">
        <f t="shared" si="2"/>
        <v>30.589733999999996</v>
      </c>
      <c r="Q4">
        <f t="shared" si="2"/>
        <v>30.589733999999996</v>
      </c>
      <c r="R4">
        <f t="shared" si="2"/>
        <v>30.589733999999996</v>
      </c>
      <c r="S4">
        <f t="shared" si="2"/>
        <v>30.589733999999996</v>
      </c>
      <c r="T4">
        <f t="shared" si="2"/>
        <v>30.589733999999996</v>
      </c>
      <c r="U4">
        <f t="shared" si="2"/>
        <v>30.589733999999996</v>
      </c>
      <c r="V4">
        <f t="shared" si="2"/>
        <v>30.589733999999996</v>
      </c>
      <c r="W4">
        <f t="shared" si="2"/>
        <v>30.589733999999996</v>
      </c>
      <c r="X4">
        <f t="shared" si="2"/>
        <v>30.589733999999996</v>
      </c>
      <c r="Y4">
        <f t="shared" si="2"/>
        <v>30.589733999999996</v>
      </c>
      <c r="Z4">
        <f t="shared" si="2"/>
        <v>30.589733999999996</v>
      </c>
      <c r="AA4">
        <f t="shared" si="2"/>
        <v>30.589733999999996</v>
      </c>
      <c r="AB4">
        <f t="shared" si="2"/>
        <v>30.589733999999996</v>
      </c>
      <c r="AC4">
        <f t="shared" si="2"/>
        <v>30.589733999999996</v>
      </c>
      <c r="AD4">
        <f t="shared" si="2"/>
        <v>30.589733999999996</v>
      </c>
      <c r="AE4">
        <f t="shared" si="2"/>
        <v>30.589733999999996</v>
      </c>
      <c r="AF4">
        <f t="shared" si="2"/>
        <v>30.589733999999996</v>
      </c>
      <c r="AG4">
        <f t="shared" si="2"/>
        <v>30.589733999999996</v>
      </c>
      <c r="AH4">
        <f t="shared" si="2"/>
        <v>30.589733999999996</v>
      </c>
      <c r="AI4">
        <f t="shared" si="2"/>
        <v>30.589733999999996</v>
      </c>
    </row>
    <row r="5" spans="1:35">
      <c r="A5" t="s">
        <v>76</v>
      </c>
      <c r="F5" s="26">
        <f>F6*($B$15+$B$16)*((1+$B$11)^F3)*(1-$B$10)*$B$18</f>
        <v>30.589733999999996</v>
      </c>
      <c r="G5" s="26">
        <f t="shared" ref="G5:AI5" si="3">G6*($B$15+$B$16)*((1+$B$11)^G3)*(1-$B$10)*$B$18</f>
        <v>30.589733999999996</v>
      </c>
      <c r="H5" s="26">
        <f t="shared" si="3"/>
        <v>30.589733999999996</v>
      </c>
      <c r="I5" s="26">
        <f t="shared" si="3"/>
        <v>30.589733999999996</v>
      </c>
      <c r="J5" s="26">
        <f t="shared" si="3"/>
        <v>30.589733999999996</v>
      </c>
      <c r="K5" s="26">
        <f t="shared" si="3"/>
        <v>30.589733999999996</v>
      </c>
      <c r="L5" s="26">
        <f t="shared" si="3"/>
        <v>30.589733999999996</v>
      </c>
      <c r="M5" s="26">
        <f t="shared" si="3"/>
        <v>30.589733999999996</v>
      </c>
      <c r="N5" s="26">
        <f t="shared" si="3"/>
        <v>30.589733999999996</v>
      </c>
      <c r="O5" s="26">
        <f t="shared" si="3"/>
        <v>30.589733999999996</v>
      </c>
      <c r="P5" s="26">
        <f t="shared" si="3"/>
        <v>30.589733999999996</v>
      </c>
      <c r="Q5" s="26">
        <f t="shared" si="3"/>
        <v>30.589733999999996</v>
      </c>
      <c r="R5" s="26">
        <f t="shared" si="3"/>
        <v>30.589733999999996</v>
      </c>
      <c r="S5" s="26">
        <f t="shared" si="3"/>
        <v>30.589733999999996</v>
      </c>
      <c r="T5" s="26">
        <f t="shared" si="3"/>
        <v>30.589733999999996</v>
      </c>
      <c r="U5" s="26">
        <f t="shared" si="3"/>
        <v>30.589733999999996</v>
      </c>
      <c r="V5" s="26">
        <f t="shared" si="3"/>
        <v>30.589733999999996</v>
      </c>
      <c r="W5" s="26">
        <f t="shared" si="3"/>
        <v>30.589733999999996</v>
      </c>
      <c r="X5" s="26">
        <f t="shared" si="3"/>
        <v>30.589733999999996</v>
      </c>
      <c r="Y5" s="26">
        <f t="shared" si="3"/>
        <v>30.589733999999996</v>
      </c>
      <c r="Z5" s="26">
        <f t="shared" si="3"/>
        <v>30.589733999999996</v>
      </c>
      <c r="AA5" s="26">
        <f t="shared" si="3"/>
        <v>30.589733999999996</v>
      </c>
      <c r="AB5" s="26">
        <f t="shared" si="3"/>
        <v>30.589733999999996</v>
      </c>
      <c r="AC5" s="26">
        <f t="shared" si="3"/>
        <v>30.589733999999996</v>
      </c>
      <c r="AD5" s="26">
        <f t="shared" si="3"/>
        <v>30.589733999999996</v>
      </c>
      <c r="AE5" s="26">
        <f t="shared" si="3"/>
        <v>30.589733999999996</v>
      </c>
      <c r="AF5" s="26">
        <f t="shared" si="3"/>
        <v>30.589733999999996</v>
      </c>
      <c r="AG5" s="26">
        <f t="shared" si="3"/>
        <v>30.589733999999996</v>
      </c>
      <c r="AH5" s="26">
        <f t="shared" si="3"/>
        <v>30.589733999999996</v>
      </c>
      <c r="AI5" s="26">
        <f t="shared" si="3"/>
        <v>30.589733999999996</v>
      </c>
    </row>
    <row r="6" spans="1:35">
      <c r="A6" t="s">
        <v>79</v>
      </c>
      <c r="F6" s="26">
        <f>MIN($B$12*$B$13*$B$14*((1+$B$17)^F3)/1000,180)</f>
        <v>22.9998</v>
      </c>
      <c r="G6" s="26">
        <f t="shared" ref="G6:AI6" si="4">MIN($B$12*$B$13*$B$14*((1+$B$17)^G3)/1000,180)</f>
        <v>22.9998</v>
      </c>
      <c r="H6" s="26">
        <f t="shared" si="4"/>
        <v>22.9998</v>
      </c>
      <c r="I6" s="26">
        <f t="shared" si="4"/>
        <v>22.9998</v>
      </c>
      <c r="J6" s="26">
        <f t="shared" si="4"/>
        <v>22.9998</v>
      </c>
      <c r="K6" s="26">
        <f t="shared" si="4"/>
        <v>22.9998</v>
      </c>
      <c r="L6" s="26">
        <f t="shared" si="4"/>
        <v>22.9998</v>
      </c>
      <c r="M6" s="26">
        <f t="shared" si="4"/>
        <v>22.9998</v>
      </c>
      <c r="N6" s="26">
        <f t="shared" si="4"/>
        <v>22.9998</v>
      </c>
      <c r="O6" s="26">
        <f t="shared" si="4"/>
        <v>22.9998</v>
      </c>
      <c r="P6" s="26">
        <f t="shared" si="4"/>
        <v>22.9998</v>
      </c>
      <c r="Q6" s="26">
        <f t="shared" si="4"/>
        <v>22.9998</v>
      </c>
      <c r="R6" s="26">
        <f t="shared" si="4"/>
        <v>22.9998</v>
      </c>
      <c r="S6" s="26">
        <f t="shared" si="4"/>
        <v>22.9998</v>
      </c>
      <c r="T6" s="26">
        <f t="shared" si="4"/>
        <v>22.9998</v>
      </c>
      <c r="U6" s="26">
        <f t="shared" si="4"/>
        <v>22.9998</v>
      </c>
      <c r="V6" s="26">
        <f t="shared" si="4"/>
        <v>22.9998</v>
      </c>
      <c r="W6" s="26">
        <f t="shared" si="4"/>
        <v>22.9998</v>
      </c>
      <c r="X6" s="26">
        <f t="shared" si="4"/>
        <v>22.9998</v>
      </c>
      <c r="Y6" s="26">
        <f t="shared" si="4"/>
        <v>22.9998</v>
      </c>
      <c r="Z6" s="26">
        <f t="shared" si="4"/>
        <v>22.9998</v>
      </c>
      <c r="AA6" s="26">
        <f t="shared" si="4"/>
        <v>22.9998</v>
      </c>
      <c r="AB6" s="26">
        <f t="shared" si="4"/>
        <v>22.9998</v>
      </c>
      <c r="AC6" s="26">
        <f t="shared" si="4"/>
        <v>22.9998</v>
      </c>
      <c r="AD6" s="26">
        <f t="shared" si="4"/>
        <v>22.9998</v>
      </c>
      <c r="AE6" s="26">
        <f t="shared" si="4"/>
        <v>22.9998</v>
      </c>
      <c r="AF6" s="26">
        <f t="shared" si="4"/>
        <v>22.9998</v>
      </c>
      <c r="AG6" s="26">
        <f t="shared" si="4"/>
        <v>22.9998</v>
      </c>
      <c r="AH6" s="26">
        <f t="shared" si="4"/>
        <v>22.9998</v>
      </c>
      <c r="AI6" s="26">
        <f t="shared" si="4"/>
        <v>22.9998</v>
      </c>
    </row>
    <row r="7" spans="1:35">
      <c r="A7" s="19" t="s">
        <v>2</v>
      </c>
      <c r="B7" s="22">
        <v>0.2</v>
      </c>
    </row>
    <row r="8" spans="1:35">
      <c r="A8" t="s">
        <v>3</v>
      </c>
      <c r="B8" s="22">
        <v>0.04</v>
      </c>
    </row>
    <row r="9" spans="1:35">
      <c r="A9" s="19" t="s">
        <v>4</v>
      </c>
      <c r="B9" s="22">
        <v>0.04</v>
      </c>
    </row>
    <row r="10" spans="1:35">
      <c r="A10" t="s">
        <v>43</v>
      </c>
      <c r="B10">
        <v>0.05</v>
      </c>
    </row>
    <row r="11" spans="1:35">
      <c r="A11" t="s">
        <v>85</v>
      </c>
      <c r="B11">
        <v>0</v>
      </c>
    </row>
    <row r="12" spans="1:35">
      <c r="A12" t="s">
        <v>81</v>
      </c>
      <c r="B12" s="6">
        <v>76.665999999999997</v>
      </c>
    </row>
    <row r="13" spans="1:35">
      <c r="A13" t="s">
        <v>78</v>
      </c>
      <c r="B13">
        <v>250</v>
      </c>
    </row>
    <row r="14" spans="1:35">
      <c r="A14" t="s">
        <v>77</v>
      </c>
      <c r="B14">
        <v>1.2</v>
      </c>
    </row>
    <row r="15" spans="1:35">
      <c r="A15" t="s">
        <v>74</v>
      </c>
      <c r="B15">
        <v>2</v>
      </c>
    </row>
    <row r="16" spans="1:35">
      <c r="A16" t="s">
        <v>82</v>
      </c>
      <c r="B16">
        <v>0</v>
      </c>
      <c r="F16" s="26">
        <f>F6*($B$16)*((1+$B$11)^F3)*(1-$B$10)</f>
        <v>0</v>
      </c>
      <c r="G16" s="26">
        <f t="shared" ref="G16:AI16" si="5">G6*($B$16)*((1+$B$11)^G3)*(1-$B$10)</f>
        <v>0</v>
      </c>
      <c r="H16" s="26">
        <f t="shared" si="5"/>
        <v>0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si="5"/>
        <v>0</v>
      </c>
      <c r="R16" s="26">
        <f t="shared" si="5"/>
        <v>0</v>
      </c>
      <c r="S16" s="26">
        <f t="shared" si="5"/>
        <v>0</v>
      </c>
      <c r="T16" s="26">
        <f t="shared" si="5"/>
        <v>0</v>
      </c>
      <c r="U16" s="26">
        <f t="shared" si="5"/>
        <v>0</v>
      </c>
      <c r="V16" s="26">
        <f t="shared" si="5"/>
        <v>0</v>
      </c>
      <c r="W16" s="26">
        <f t="shared" si="5"/>
        <v>0</v>
      </c>
      <c r="X16" s="26">
        <f t="shared" si="5"/>
        <v>0</v>
      </c>
      <c r="Y16" s="26">
        <f t="shared" si="5"/>
        <v>0</v>
      </c>
      <c r="Z16" s="26">
        <f t="shared" si="5"/>
        <v>0</v>
      </c>
      <c r="AA16" s="26">
        <f t="shared" si="5"/>
        <v>0</v>
      </c>
      <c r="AB16" s="26">
        <f t="shared" si="5"/>
        <v>0</v>
      </c>
      <c r="AC16" s="26">
        <f t="shared" si="5"/>
        <v>0</v>
      </c>
      <c r="AD16" s="26">
        <f t="shared" si="5"/>
        <v>0</v>
      </c>
      <c r="AE16" s="26">
        <f t="shared" si="5"/>
        <v>0</v>
      </c>
      <c r="AF16" s="26">
        <f t="shared" si="5"/>
        <v>0</v>
      </c>
      <c r="AG16" s="26">
        <f t="shared" si="5"/>
        <v>0</v>
      </c>
      <c r="AH16" s="26">
        <f t="shared" si="5"/>
        <v>0</v>
      </c>
      <c r="AI16" s="26">
        <f t="shared" si="5"/>
        <v>0</v>
      </c>
    </row>
    <row r="17" spans="1:35">
      <c r="A17" t="s">
        <v>34</v>
      </c>
      <c r="B17">
        <v>0</v>
      </c>
    </row>
    <row r="18" spans="1:35">
      <c r="A18" t="s">
        <v>44</v>
      </c>
      <c r="B18">
        <v>0.7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 t="s">
        <v>9</v>
      </c>
      <c r="R18" t="s">
        <v>9</v>
      </c>
      <c r="S18" t="s">
        <v>9</v>
      </c>
      <c r="T18" t="s">
        <v>9</v>
      </c>
      <c r="U18" t="s">
        <v>9</v>
      </c>
      <c r="V18" t="s">
        <v>9</v>
      </c>
      <c r="W18" t="s">
        <v>9</v>
      </c>
      <c r="X18" t="s">
        <v>9</v>
      </c>
      <c r="Y18" t="s">
        <v>9</v>
      </c>
      <c r="Z18" t="s">
        <v>9</v>
      </c>
      <c r="AA18" t="s">
        <v>9</v>
      </c>
      <c r="AB18" t="s">
        <v>9</v>
      </c>
      <c r="AC18" t="s">
        <v>9</v>
      </c>
      <c r="AD18" t="s">
        <v>9</v>
      </c>
      <c r="AE18" t="s">
        <v>9</v>
      </c>
      <c r="AF18" t="s">
        <v>9</v>
      </c>
      <c r="AG18" t="s">
        <v>9</v>
      </c>
      <c r="AH18" t="s">
        <v>9</v>
      </c>
      <c r="AI18" t="s">
        <v>9</v>
      </c>
    </row>
    <row r="19" spans="1:35">
      <c r="A19" s="10" t="s">
        <v>5</v>
      </c>
    </row>
    <row r="20" spans="1:35">
      <c r="A20" t="s">
        <v>33</v>
      </c>
      <c r="B20" s="20">
        <f>NPV(B8,B5:AI5)</f>
        <v>528.95869898646822</v>
      </c>
    </row>
    <row r="21" spans="1:35">
      <c r="A21" t="s">
        <v>45</v>
      </c>
      <c r="B21" s="20">
        <f>NPV(B8,B4:E4)</f>
        <v>-544.48428363852804</v>
      </c>
    </row>
    <row r="22" spans="1:35">
      <c r="A22" t="s">
        <v>46</v>
      </c>
      <c r="B22" s="20">
        <f>B20+B21</f>
        <v>-15.52558465205982</v>
      </c>
    </row>
    <row r="23" spans="1:35">
      <c r="A23" t="s">
        <v>35</v>
      </c>
      <c r="B23" s="21">
        <f>IRR(B4:AI4)</f>
        <v>2.6865227030700885E-2</v>
      </c>
      <c r="C23" t="s">
        <v>83</v>
      </c>
    </row>
    <row r="24" spans="1:35">
      <c r="A24" t="s">
        <v>75</v>
      </c>
      <c r="B24" s="6">
        <f>B20*B9</f>
        <v>21.15834795945873</v>
      </c>
    </row>
    <row r="25" spans="1:35">
      <c r="A25" t="s">
        <v>76</v>
      </c>
      <c r="B25" s="26" t="s">
        <v>84</v>
      </c>
      <c r="I25" s="26"/>
      <c r="M25" t="s">
        <v>9</v>
      </c>
    </row>
    <row r="26" spans="1:35">
      <c r="A26" t="s">
        <v>79</v>
      </c>
      <c r="B26" s="26" t="s">
        <v>80</v>
      </c>
    </row>
    <row r="28" spans="1:35">
      <c r="A28" t="s">
        <v>86</v>
      </c>
    </row>
    <row r="29" spans="1:35">
      <c r="A29" t="s">
        <v>1</v>
      </c>
      <c r="B29" t="s">
        <v>87</v>
      </c>
      <c r="C29" t="s">
        <v>88</v>
      </c>
    </row>
    <row r="30" spans="1:35">
      <c r="A30" t="s">
        <v>89</v>
      </c>
      <c r="B30" t="s">
        <v>90</v>
      </c>
      <c r="C30" t="s">
        <v>104</v>
      </c>
    </row>
    <row r="31" spans="1:35">
      <c r="A31" t="s">
        <v>79</v>
      </c>
      <c r="B31" t="s">
        <v>91</v>
      </c>
      <c r="C31" t="s">
        <v>92</v>
      </c>
    </row>
    <row r="32" spans="1:35">
      <c r="A32" t="s">
        <v>33</v>
      </c>
      <c r="B32" s="20" t="s">
        <v>93</v>
      </c>
      <c r="E32" t="s">
        <v>98</v>
      </c>
    </row>
    <row r="33" spans="1:9">
      <c r="A33" t="s">
        <v>45</v>
      </c>
      <c r="B33" s="20" t="s">
        <v>94</v>
      </c>
      <c r="E33" t="s">
        <v>99</v>
      </c>
    </row>
    <row r="34" spans="1:9">
      <c r="A34" t="s">
        <v>46</v>
      </c>
      <c r="B34" s="20" t="s">
        <v>95</v>
      </c>
      <c r="E34" t="s">
        <v>100</v>
      </c>
    </row>
    <row r="35" spans="1:9">
      <c r="A35" t="s">
        <v>35</v>
      </c>
      <c r="B35" s="21" t="s">
        <v>96</v>
      </c>
      <c r="E35" t="s">
        <v>105</v>
      </c>
      <c r="I35" t="s">
        <v>106</v>
      </c>
    </row>
    <row r="36" spans="1:9">
      <c r="A36" t="s">
        <v>75</v>
      </c>
      <c r="B36" s="6" t="s">
        <v>97</v>
      </c>
      <c r="E36" t="s">
        <v>101</v>
      </c>
    </row>
  </sheetData>
  <printOptions horizontalCentered="1" verticalCentered="1" headings="1"/>
  <pageMargins left="0.13" right="0.13" top="0.75" bottom="0.75" header="0.3" footer="0.3"/>
  <pageSetup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 FLOOR </vt:lpstr>
      <vt:lpstr>ACT COLLAR</vt:lpstr>
      <vt:lpstr>MODELS</vt:lpstr>
      <vt:lpstr>MGB 0 Growth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cp:lastPrinted>2016-11-26T19:20:46Z</cp:lastPrinted>
  <dcterms:created xsi:type="dcterms:W3CDTF">2016-02-13T14:31:10Z</dcterms:created>
  <dcterms:modified xsi:type="dcterms:W3CDTF">2016-11-26T19:37:26Z</dcterms:modified>
</cp:coreProperties>
</file>